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09df318522e16d/Desktop/CDIAC Advanced Topics/Final Presentation And Excel/"/>
    </mc:Choice>
  </mc:AlternateContent>
  <xr:revisionPtr revIDLastSave="0" documentId="8_{AE749946-8572-4F86-AABC-7FAD20A6C180}" xr6:coauthVersionLast="47" xr6:coauthVersionMax="47" xr10:uidLastSave="{00000000-0000-0000-0000-000000000000}"/>
  <bookViews>
    <workbookView xWindow="9585" yWindow="6360" windowWidth="38700" windowHeight="12240" activeTab="5" xr2:uid="{2A53C418-334F-0C40-88E3-03BE38EF54F2}"/>
  </bookViews>
  <sheets>
    <sheet name="spot discount 1" sheetId="14" r:id="rId1"/>
    <sheet name="calculator keys" sheetId="8" r:id="rId2"/>
    <sheet name="Effective Duration" sheetId="2" r:id="rId3"/>
    <sheet name="Convexity illustrated" sheetId="1" r:id="rId4"/>
    <sheet name="Convexity calculated" sheetId="4" r:id="rId5"/>
    <sheet name="Convexity applied" sheetId="5" r:id="rId6"/>
    <sheet name="Sheet1" sheetId="1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D5" i="2"/>
  <c r="A35" i="1"/>
  <c r="A36" i="1"/>
  <c r="A34" i="1"/>
  <c r="D5" i="8" l="1"/>
  <c r="J11" i="5" l="1"/>
  <c r="F23" i="14" l="1"/>
  <c r="F25" i="14" s="1"/>
  <c r="C19" i="14"/>
  <c r="B19" i="14"/>
  <c r="D11" i="8"/>
  <c r="D19" i="2" l="1"/>
  <c r="E19" i="2" s="1"/>
  <c r="D18" i="2"/>
  <c r="E18" i="2" s="1"/>
  <c r="D11" i="2"/>
  <c r="F14" i="5"/>
  <c r="F15" i="5"/>
  <c r="D15" i="5"/>
  <c r="D14" i="5"/>
  <c r="G21" i="2" l="1"/>
  <c r="F18" i="2"/>
  <c r="F19" i="2"/>
  <c r="C25" i="8" l="1"/>
  <c r="C16" i="8"/>
  <c r="D16" i="8" s="1"/>
  <c r="B16" i="8"/>
  <c r="B17" i="8" s="1"/>
  <c r="B18" i="8" s="1"/>
  <c r="D25" i="8" l="1"/>
  <c r="C17" i="8"/>
  <c r="B19" i="8"/>
  <c r="C18" i="8" l="1"/>
  <c r="D17" i="8"/>
  <c r="C19" i="8"/>
  <c r="D18" i="8"/>
  <c r="B20" i="8"/>
  <c r="D19" i="8" l="1"/>
  <c r="C20" i="8"/>
  <c r="B21" i="8"/>
  <c r="D20" i="8"/>
  <c r="C21" i="8" l="1"/>
  <c r="D21" i="8"/>
  <c r="C22" i="8"/>
  <c r="B22" i="8"/>
  <c r="B23" i="8" l="1"/>
  <c r="C23" i="8"/>
  <c r="D22" i="8"/>
  <c r="D23" i="8" l="1"/>
  <c r="C24" i="8"/>
  <c r="B24" i="8"/>
  <c r="B25" i="8" l="1"/>
  <c r="D24" i="8"/>
  <c r="C27" i="8"/>
  <c r="D27" i="8" l="1"/>
  <c r="I13" i="4" l="1"/>
  <c r="I12" i="4"/>
  <c r="I11" i="4"/>
  <c r="I10" i="4"/>
  <c r="I9" i="4"/>
  <c r="I8" i="4"/>
  <c r="D8" i="4"/>
  <c r="I7" i="4"/>
  <c r="I6" i="4"/>
  <c r="I5" i="4"/>
  <c r="I4" i="4"/>
  <c r="G4" i="4"/>
  <c r="H4" i="4" s="1"/>
  <c r="B8" i="1"/>
  <c r="B9" i="1" s="1"/>
  <c r="C8" i="1" l="1"/>
  <c r="D8" i="1" s="1"/>
  <c r="B10" i="1"/>
  <c r="C9" i="1"/>
  <c r="D9" i="1" s="1"/>
  <c r="G5" i="4"/>
  <c r="G6" i="4" s="1"/>
  <c r="H6" i="4" s="1"/>
  <c r="J6" i="4" s="1"/>
  <c r="J4" i="4"/>
  <c r="G18" i="2"/>
  <c r="G19" i="2"/>
  <c r="H5" i="4" l="1"/>
  <c r="J5" i="4" s="1"/>
  <c r="G7" i="4"/>
  <c r="G8" i="4" s="1"/>
  <c r="B11" i="1"/>
  <c r="C10" i="1"/>
  <c r="D10" i="1" s="1"/>
  <c r="H7" i="4" l="1"/>
  <c r="J7" i="4" s="1"/>
  <c r="B12" i="1"/>
  <c r="C11" i="1"/>
  <c r="D11" i="1" s="1"/>
  <c r="G9" i="4"/>
  <c r="H8" i="4"/>
  <c r="J8" i="4" s="1"/>
  <c r="B13" i="1" l="1"/>
  <c r="C12" i="1"/>
  <c r="D12" i="1" s="1"/>
  <c r="H9" i="4"/>
  <c r="J9" i="4" s="1"/>
  <c r="G10" i="4"/>
  <c r="B14" i="1" l="1"/>
  <c r="C13" i="1"/>
  <c r="D13" i="1" s="1"/>
  <c r="G11" i="4"/>
  <c r="H10" i="4"/>
  <c r="J10" i="4" s="1"/>
  <c r="C14" i="1" l="1"/>
  <c r="B15" i="1"/>
  <c r="G12" i="4"/>
  <c r="H11" i="4"/>
  <c r="J11" i="4" s="1"/>
  <c r="D14" i="1" l="1"/>
  <c r="A13" i="1" s="1"/>
  <c r="B16" i="1"/>
  <c r="C15" i="1"/>
  <c r="D15" i="1" s="1"/>
  <c r="A15" i="1" s="1"/>
  <c r="A14" i="1" s="1"/>
  <c r="G13" i="4"/>
  <c r="H13" i="4" s="1"/>
  <c r="J13" i="4" s="1"/>
  <c r="H12" i="4"/>
  <c r="J12" i="4" s="1"/>
  <c r="C16" i="1" l="1"/>
  <c r="D16" i="1" s="1"/>
  <c r="B17" i="1"/>
  <c r="J15" i="4"/>
  <c r="J17" i="4" s="1"/>
  <c r="H15" i="4"/>
  <c r="B18" i="1" l="1"/>
  <c r="C17" i="1"/>
  <c r="D17" i="1" s="1"/>
  <c r="C18" i="1" l="1"/>
  <c r="D18" i="1" s="1"/>
  <c r="B19" i="1"/>
  <c r="C19" i="1" l="1"/>
  <c r="D19" i="1" s="1"/>
  <c r="B20" i="1"/>
  <c r="C20" i="1" l="1"/>
  <c r="D20" i="1" s="1"/>
  <c r="B21" i="1"/>
  <c r="C21" i="1" l="1"/>
  <c r="D21" i="1" s="1"/>
  <c r="B22" i="1"/>
  <c r="C22" i="1" l="1"/>
  <c r="D22" i="1" s="1"/>
  <c r="A21" i="1" s="1"/>
  <c r="B23" i="1"/>
  <c r="C23" i="1" l="1"/>
  <c r="D23" i="1" s="1"/>
  <c r="A23" i="1" s="1"/>
  <c r="A22" i="1" s="1"/>
  <c r="B24" i="1"/>
  <c r="C24" i="1" l="1"/>
  <c r="D24" i="1" s="1"/>
  <c r="B25" i="1"/>
  <c r="C25" i="1" l="1"/>
  <c r="D25" i="1" s="1"/>
  <c r="B26" i="1"/>
  <c r="C26" i="1" l="1"/>
  <c r="D26" i="1" s="1"/>
  <c r="B27" i="1"/>
  <c r="C27" i="1" s="1"/>
  <c r="D27" i="1" s="1"/>
  <c r="B28" i="1" l="1"/>
  <c r="C28" i="1" s="1"/>
  <c r="D28" i="1" l="1"/>
  <c r="B29" i="1"/>
  <c r="C29" i="1" l="1"/>
  <c r="D29" i="1" s="1"/>
  <c r="B30" i="1"/>
  <c r="C30" i="1" l="1"/>
  <c r="D30" i="1" s="1"/>
  <c r="A29" i="1" s="1"/>
  <c r="B31" i="1"/>
  <c r="C31" i="1" l="1"/>
  <c r="B32" i="1"/>
  <c r="D31" i="1" l="1"/>
  <c r="A31" i="1" s="1"/>
  <c r="A30" i="1" s="1"/>
  <c r="B33" i="1"/>
  <c r="C32" i="1"/>
  <c r="D32" i="1" s="1"/>
  <c r="B34" i="1" l="1"/>
  <c r="C33" i="1"/>
  <c r="D33" i="1" s="1"/>
  <c r="C34" i="1" l="1"/>
  <c r="D34" i="1" s="1"/>
  <c r="B35" i="1"/>
  <c r="C35" i="1" l="1"/>
  <c r="B36" i="1"/>
  <c r="C36" i="1" s="1"/>
  <c r="D36" i="1" s="1"/>
  <c r="D35" i="1" l="1"/>
</calcChain>
</file>

<file path=xl/sharedStrings.xml><?xml version="1.0" encoding="utf-8"?>
<sst xmlns="http://schemas.openxmlformats.org/spreadsheetml/2006/main" count="78" uniqueCount="54">
  <si>
    <t>pmt</t>
  </si>
  <si>
    <t>Coupon</t>
  </si>
  <si>
    <t>n</t>
  </si>
  <si>
    <t>Term</t>
  </si>
  <si>
    <t>fv</t>
  </si>
  <si>
    <t>Face Value</t>
  </si>
  <si>
    <t>i</t>
  </si>
  <si>
    <t>Market rate</t>
  </si>
  <si>
    <t>hour</t>
  </si>
  <si>
    <t>PV</t>
  </si>
  <si>
    <t>bond king</t>
  </si>
  <si>
    <t>t</t>
  </si>
  <si>
    <t>payments</t>
  </si>
  <si>
    <t>pv of payments</t>
  </si>
  <si>
    <t>Riding the yield curve</t>
  </si>
  <si>
    <t>1 year loans</t>
  </si>
  <si>
    <t>2 year loan</t>
  </si>
  <si>
    <t>3 year loan</t>
  </si>
  <si>
    <t>1%/year</t>
  </si>
  <si>
    <t>2%/year</t>
  </si>
  <si>
    <t>3% per year</t>
  </si>
  <si>
    <t>FV</t>
  </si>
  <si>
    <t>interest rate</t>
  </si>
  <si>
    <t>coupon</t>
  </si>
  <si>
    <t>N</t>
  </si>
  <si>
    <t xml:space="preserve">pv </t>
  </si>
  <si>
    <t>sum</t>
  </si>
  <si>
    <t>pv</t>
  </si>
  <si>
    <t>Coupon Rate</t>
  </si>
  <si>
    <t>Present Value</t>
  </si>
  <si>
    <t>event:</t>
  </si>
  <si>
    <t>change:</t>
  </si>
  <si>
    <t>new rate</t>
  </si>
  <si>
    <t>new pv</t>
  </si>
  <si>
    <t>absolute value</t>
  </si>
  <si>
    <t>rates down</t>
  </si>
  <si>
    <t>rates up</t>
  </si>
  <si>
    <t>Effective Duration</t>
  </si>
  <si>
    <t>face</t>
  </si>
  <si>
    <t>term</t>
  </si>
  <si>
    <t>face value</t>
  </si>
  <si>
    <t>rate</t>
  </si>
  <si>
    <t>maturity</t>
  </si>
  <si>
    <r>
      <t>V</t>
    </r>
    <r>
      <rPr>
        <sz val="8"/>
        <color theme="1"/>
        <rFont val="Calibri (Body)"/>
      </rPr>
      <t>B</t>
    </r>
    <r>
      <rPr>
        <sz val="12"/>
        <color theme="1"/>
        <rFont val="Calibri"/>
        <family val="2"/>
        <scheme val="minor"/>
      </rPr>
      <t>= pv</t>
    </r>
  </si>
  <si>
    <t>Bond (or bond portfolio) Characteristics:</t>
  </si>
  <si>
    <t>Duration</t>
  </si>
  <si>
    <t>Convexity</t>
  </si>
  <si>
    <t>rate change</t>
  </si>
  <si>
    <t>Response to change in interest rates:</t>
  </si>
  <si>
    <t>with convexity adjustment</t>
  </si>
  <si>
    <t>without convexity</t>
  </si>
  <si>
    <t>rates go down</t>
  </si>
  <si>
    <t>rates go up</t>
  </si>
  <si>
    <t>Coupon PMT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</si>
</sst>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_(* #,##0.0000_);_(* \(#,##0.0000\);_(* &quot;-&quot;??_);_(@_)"/>
    <numFmt numFmtId="166" formatCode="_(* #,##0_);_(* \(#,##0\);_(* &quot;-&quot;??_);_(@_)"/>
    <numFmt numFmtId="167" formatCode="_(* #,##0.00000_);_(* \(#,##0.00000\);_(* &quot;-&quot;??_);_(@_)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color theme="1"/>
      <name val="Calibri (Body)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6" fontId="0" fillId="0" borderId="0" xfId="0" applyNumberFormat="1"/>
    <xf numFmtId="9" fontId="0" fillId="0" borderId="0" xfId="0" applyNumberFormat="1"/>
    <xf numFmtId="8" fontId="0" fillId="0" borderId="0" xfId="0" applyNumberFormat="1"/>
    <xf numFmtId="10" fontId="0" fillId="0" borderId="0" xfId="0" applyNumberFormat="1"/>
    <xf numFmtId="164" fontId="0" fillId="0" borderId="0" xfId="0" applyNumberFormat="1"/>
    <xf numFmtId="9" fontId="0" fillId="0" borderId="0" xfId="2" applyFont="1"/>
    <xf numFmtId="164" fontId="0" fillId="0" borderId="0" xfId="2" applyNumberFormat="1" applyFont="1"/>
    <xf numFmtId="10" fontId="0" fillId="0" borderId="0" xfId="2" applyNumberFormat="1" applyFont="1"/>
    <xf numFmtId="43" fontId="0" fillId="0" borderId="0" xfId="1" applyFont="1"/>
    <xf numFmtId="0" fontId="2" fillId="0" borderId="0" xfId="0" applyFont="1"/>
    <xf numFmtId="0" fontId="3" fillId="0" borderId="0" xfId="0" applyFont="1"/>
    <xf numFmtId="165" fontId="0" fillId="0" borderId="0" xfId="1" applyNumberFormat="1" applyFont="1"/>
    <xf numFmtId="43" fontId="0" fillId="0" borderId="0" xfId="0" applyNumberFormat="1"/>
    <xf numFmtId="166" fontId="0" fillId="0" borderId="0" xfId="1" applyNumberFormat="1" applyFont="1"/>
    <xf numFmtId="3" fontId="0" fillId="0" borderId="0" xfId="0" applyNumberFormat="1"/>
    <xf numFmtId="8" fontId="3" fillId="0" borderId="0" xfId="0" applyNumberFormat="1" applyFont="1"/>
    <xf numFmtId="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5" fillId="0" borderId="0" xfId="0" applyNumberFormat="1" applyFont="1"/>
    <xf numFmtId="0" fontId="6" fillId="0" borderId="0" xfId="0" applyFont="1"/>
    <xf numFmtId="9" fontId="0" fillId="2" borderId="0" xfId="0" applyNumberFormat="1" applyFill="1"/>
    <xf numFmtId="8" fontId="0" fillId="2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6" fontId="0" fillId="0" borderId="4" xfId="0" applyNumberFormat="1" applyBorder="1"/>
    <xf numFmtId="167" fontId="2" fillId="0" borderId="0" xfId="1" applyNumberFormat="1" applyFont="1"/>
    <xf numFmtId="9" fontId="3" fillId="3" borderId="0" xfId="2" applyFont="1" applyFill="1"/>
    <xf numFmtId="9" fontId="5" fillId="3" borderId="0" xfId="0" applyNumberFormat="1" applyFont="1" applyFill="1" applyAlignment="1">
      <alignment horizontal="right"/>
    </xf>
    <xf numFmtId="9" fontId="0" fillId="3" borderId="0" xfId="0" applyNumberFormat="1" applyFill="1"/>
    <xf numFmtId="6" fontId="0" fillId="3" borderId="5" xfId="0" applyNumberFormat="1" applyFill="1" applyBorder="1"/>
    <xf numFmtId="0" fontId="0" fillId="3" borderId="6" xfId="0" applyFill="1" applyBorder="1"/>
    <xf numFmtId="0" fontId="0" fillId="3" borderId="0" xfId="0" applyFill="1"/>
    <xf numFmtId="10" fontId="0" fillId="3" borderId="0" xfId="0" applyNumberForma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Convexity</a:t>
            </a:r>
          </a:p>
        </c:rich>
      </c:tx>
      <c:layout>
        <c:manualLayout>
          <c:xMode val="edge"/>
          <c:yMode val="edge"/>
          <c:x val="0.43435314045046702"/>
          <c:y val="3.678929765886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'Convexity illustrated'!$B$6:$B$36</c:f>
              <c:numCache>
                <c:formatCode>0%</c:formatCode>
                <c:ptCount val="31"/>
                <c:pt idx="1">
                  <c:v>0.3</c:v>
                </c:pt>
                <c:pt idx="2">
                  <c:v>0.28999999999999998</c:v>
                </c:pt>
                <c:pt idx="3">
                  <c:v>0.27999999999999997</c:v>
                </c:pt>
                <c:pt idx="4">
                  <c:v>0.26999999999999996</c:v>
                </c:pt>
                <c:pt idx="5">
                  <c:v>0.25999999999999995</c:v>
                </c:pt>
                <c:pt idx="6">
                  <c:v>0.24999999999999994</c:v>
                </c:pt>
                <c:pt idx="7">
                  <c:v>0.23999999999999994</c:v>
                </c:pt>
                <c:pt idx="8">
                  <c:v>0.22999999999999993</c:v>
                </c:pt>
                <c:pt idx="9">
                  <c:v>0.21999999999999992</c:v>
                </c:pt>
                <c:pt idx="10">
                  <c:v>0.20999999999999991</c:v>
                </c:pt>
                <c:pt idx="11">
                  <c:v>0.1999999999999999</c:v>
                </c:pt>
                <c:pt idx="12">
                  <c:v>0.18999999999999989</c:v>
                </c:pt>
                <c:pt idx="13">
                  <c:v>0.17999999999999988</c:v>
                </c:pt>
                <c:pt idx="14">
                  <c:v>0.16999999999999987</c:v>
                </c:pt>
                <c:pt idx="15">
                  <c:v>0.15999999999999986</c:v>
                </c:pt>
                <c:pt idx="16">
                  <c:v>0.14999999999999986</c:v>
                </c:pt>
                <c:pt idx="17">
                  <c:v>0.13999999999999985</c:v>
                </c:pt>
                <c:pt idx="18">
                  <c:v>0.12999999999999984</c:v>
                </c:pt>
                <c:pt idx="19">
                  <c:v>0.11999999999999984</c:v>
                </c:pt>
                <c:pt idx="20">
                  <c:v>0.10999999999999985</c:v>
                </c:pt>
                <c:pt idx="21">
                  <c:v>9.9999999999999853E-2</c:v>
                </c:pt>
                <c:pt idx="22">
                  <c:v>8.9999999999999858E-2</c:v>
                </c:pt>
                <c:pt idx="23">
                  <c:v>7.9999999999999863E-2</c:v>
                </c:pt>
                <c:pt idx="24">
                  <c:v>6.9999999999999868E-2</c:v>
                </c:pt>
                <c:pt idx="25">
                  <c:v>5.9999999999999866E-2</c:v>
                </c:pt>
                <c:pt idx="26">
                  <c:v>4.9999999999999864E-2</c:v>
                </c:pt>
                <c:pt idx="27">
                  <c:v>3.9999999999999862E-2</c:v>
                </c:pt>
                <c:pt idx="28">
                  <c:v>2.999999999999986E-2</c:v>
                </c:pt>
                <c:pt idx="29">
                  <c:v>1.9999999999999858E-2</c:v>
                </c:pt>
                <c:pt idx="30">
                  <c:v>9.999999999999858E-3</c:v>
                </c:pt>
              </c:numCache>
            </c:numRef>
          </c:xVal>
          <c:yVal>
            <c:numRef>
              <c:f>'Convexity illustrated'!$D$6:$D$36</c:f>
              <c:numCache>
                <c:formatCode>"$"#,##0.00_);[Red]\("$"#,##0.00\)</c:formatCode>
                <c:ptCount val="31"/>
                <c:pt idx="1">
                  <c:v>333.58778668262897</c:v>
                </c:pt>
                <c:pt idx="2">
                  <c:v>345.14284288430645</c:v>
                </c:pt>
                <c:pt idx="3">
                  <c:v>357.53353193011128</c:v>
                </c:pt>
                <c:pt idx="4">
                  <c:v>370.85451322719831</c:v>
                </c:pt>
                <c:pt idx="5">
                  <c:v>385.21521751349712</c:v>
                </c:pt>
                <c:pt idx="6">
                  <c:v>400.74276402357134</c:v>
                </c:pt>
                <c:pt idx="7">
                  <c:v>417.58556240869291</c:v>
                </c:pt>
                <c:pt idx="8">
                  <c:v>435.91778200982179</c:v>
                </c:pt>
                <c:pt idx="9">
                  <c:v>455.94492471274799</c:v>
                </c:pt>
                <c:pt idx="10">
                  <c:v>477.91080824267652</c:v>
                </c:pt>
                <c:pt idx="11">
                  <c:v>502.10636011654401</c:v>
                </c:pt>
                <c:pt idx="12">
                  <c:v>528.88074634312591</c:v>
                </c:pt>
                <c:pt idx="13">
                  <c:v>558.65552392625455</c:v>
                </c:pt>
                <c:pt idx="14">
                  <c:v>591.94272673319188</c:v>
                </c:pt>
                <c:pt idx="15">
                  <c:v>629.36809013015329</c:v>
                </c:pt>
                <c:pt idx="16">
                  <c:v>671.70101816462886</c:v>
                </c:pt>
                <c:pt idx="17">
                  <c:v>719.89343551090201</c:v>
                </c:pt>
                <c:pt idx="18">
                  <c:v>775.13039682006638</c:v>
                </c:pt>
                <c:pt idx="19">
                  <c:v>838.89632064665386</c:v>
                </c:pt>
                <c:pt idx="20">
                  <c:v>913.06207426534002</c:v>
                </c:pt>
                <c:pt idx="21">
                  <c:v>1000.0000000000014</c:v>
                </c:pt>
                <c:pt idx="22">
                  <c:v>1102.7365404302188</c:v>
                </c:pt>
                <c:pt idx="23">
                  <c:v>1225.1556668625515</c:v>
                </c:pt>
                <c:pt idx="24">
                  <c:v>1372.2712355051776</c:v>
                </c:pt>
                <c:pt idx="25">
                  <c:v>1550.5932460595795</c:v>
                </c:pt>
                <c:pt idx="26">
                  <c:v>1768.6225513441448</c:v>
                </c:pt>
                <c:pt idx="27">
                  <c:v>2037.5219980398729</c:v>
                </c:pt>
                <c:pt idx="28">
                  <c:v>2372.0308944628873</c:v>
                </c:pt>
                <c:pt idx="29">
                  <c:v>2791.716444080354</c:v>
                </c:pt>
                <c:pt idx="30">
                  <c:v>3322.6937399158751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31-2146-9C1C-AF7B838CB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8265167"/>
        <c:axId val="260354016"/>
      </c:scatterChart>
      <c:valAx>
        <c:axId val="1818265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354016"/>
        <c:crosses val="autoZero"/>
        <c:crossBetween val="midCat"/>
      </c:valAx>
      <c:valAx>
        <c:axId val="26035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Bond</a:t>
                </a:r>
                <a:r>
                  <a:rPr lang="en-US" baseline="0"/>
                  <a:t> Price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2651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294084</xdr:colOff>
      <xdr:row>1</xdr:row>
      <xdr:rowOff>140892</xdr:rowOff>
    </xdr:from>
    <xdr:to>
      <xdr:col>13</xdr:col>
      <xdr:colOff>560784</xdr:colOff>
      <xdr:row>31</xdr:row>
      <xdr:rowOff>185737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22DA43-C428-0743-BB25-AD7EF2F68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154781</xdr:colOff>
      <xdr:row>4</xdr:row>
      <xdr:rowOff>17860</xdr:rowOff>
    </xdr:from>
    <xdr:to>
      <xdr:col>13</xdr:col>
      <xdr:colOff>297656</xdr:colOff>
      <xdr:row>28</xdr:row>
      <xdr:rowOff>196453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8CEFFB6-5426-E4AE-6724-E32403496537}"/>
            </a:ext>
          </a:extLst>
        </xdr:cNvPr>
        <xdr:cNvCxnSpPr/>
      </xdr:nvCxnSpPr>
      <xdr:spPr>
        <a:xfrm>
          <a:off x="5191125" y="839391"/>
          <a:ext cx="6018609" cy="5036343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12700</xdr:colOff>
      <xdr:row>3</xdr:row>
      <xdr:rowOff>0</xdr:rowOff>
    </xdr:from>
    <xdr:to>
      <xdr:col>16</xdr:col>
      <xdr:colOff>495300</xdr:colOff>
      <xdr:row>10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6E0D63-590D-7D48-81E8-61F2462A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3200" y="609600"/>
          <a:ext cx="4610100" cy="142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6</xdr:col>
      <xdr:colOff>762000</xdr:colOff>
      <xdr:row>25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6A128-76E2-834F-9A9D-F4C466871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0" y="4064000"/>
          <a:ext cx="807720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DD4A3-D79B-CB4E-82A8-684F2D585582}">
  <dimension ref="A2:F25"/>
  <sheetViews>
    <sheetView zoomScale="200" zoomScaleNormal="200" workbookViewId="0">
      <selection activeCell="E2" sqref="E2"/>
    </sheetView>
  </sheetViews>
  <sheetFormatPr defaultColWidth="11" defaultRowHeight="15.75"/>
  <sheetData>
    <row r="2" spans="1:6">
      <c r="B2" s="15">
        <v>96000</v>
      </c>
    </row>
    <row r="3" spans="1:6">
      <c r="B3" t="s">
        <v>8</v>
      </c>
    </row>
    <row r="5" spans="1:6">
      <c r="B5" t="s">
        <v>10</v>
      </c>
    </row>
    <row r="8" spans="1:6">
      <c r="B8" t="s">
        <v>14</v>
      </c>
    </row>
    <row r="9" spans="1:6">
      <c r="A9" s="3"/>
      <c r="B9" s="3"/>
    </row>
    <row r="10" spans="1:6">
      <c r="A10" s="3"/>
      <c r="B10" s="3"/>
    </row>
    <row r="11" spans="1:6">
      <c r="A11" s="3"/>
      <c r="B11" s="16" t="s">
        <v>15</v>
      </c>
      <c r="C11" s="11" t="s">
        <v>16</v>
      </c>
      <c r="D11" s="11" t="s">
        <v>17</v>
      </c>
    </row>
    <row r="12" spans="1:6">
      <c r="A12" s="3"/>
      <c r="B12" s="2" t="s">
        <v>18</v>
      </c>
      <c r="C12" s="2" t="s">
        <v>19</v>
      </c>
      <c r="D12" s="2" t="s">
        <v>20</v>
      </c>
    </row>
    <row r="13" spans="1:6">
      <c r="A13" s="3"/>
      <c r="B13" s="3"/>
      <c r="F13" s="14"/>
    </row>
    <row r="14" spans="1:6">
      <c r="A14" s="3" t="s">
        <v>21</v>
      </c>
      <c r="B14" s="3">
        <v>100</v>
      </c>
      <c r="C14" s="1">
        <v>100</v>
      </c>
    </row>
    <row r="15" spans="1:6">
      <c r="A15" s="3" t="s">
        <v>22</v>
      </c>
      <c r="B15" s="2">
        <v>0.01</v>
      </c>
      <c r="C15" s="2">
        <v>0.02</v>
      </c>
      <c r="F15" s="9"/>
    </row>
    <row r="16" spans="1:6">
      <c r="A16" s="3" t="s">
        <v>23</v>
      </c>
      <c r="B16" s="3">
        <v>2</v>
      </c>
      <c r="C16" s="1">
        <v>2</v>
      </c>
    </row>
    <row r="17" spans="1:6">
      <c r="A17" s="3" t="s">
        <v>24</v>
      </c>
      <c r="B17">
        <v>1</v>
      </c>
      <c r="C17">
        <v>2</v>
      </c>
      <c r="F17" s="13"/>
    </row>
    <row r="18" spans="1:6">
      <c r="A18" s="3"/>
      <c r="B18" s="3"/>
      <c r="F18" s="9"/>
    </row>
    <row r="19" spans="1:6">
      <c r="A19" s="3" t="s">
        <v>25</v>
      </c>
      <c r="B19" s="3">
        <f>PV(B15,B17,B16,B14)</f>
        <v>-100.99009900990099</v>
      </c>
      <c r="C19" s="3">
        <f>PV(C15,C17,C16,C14)</f>
        <v>-100</v>
      </c>
      <c r="F19">
        <v>-100</v>
      </c>
    </row>
    <row r="20" spans="1:6">
      <c r="A20" s="3"/>
      <c r="B20" s="3"/>
      <c r="F20">
        <v>2</v>
      </c>
    </row>
    <row r="21" spans="1:6">
      <c r="F21">
        <v>100.99</v>
      </c>
    </row>
    <row r="22" spans="1:6">
      <c r="C22">
        <v>2</v>
      </c>
      <c r="F22" s="13"/>
    </row>
    <row r="23" spans="1:6">
      <c r="C23">
        <v>1</v>
      </c>
      <c r="F23">
        <f>SUM(F19:F21)</f>
        <v>2.9899999999999949</v>
      </c>
    </row>
    <row r="25" spans="1:6">
      <c r="C25" s="2">
        <v>0.03</v>
      </c>
      <c r="F25">
        <f>-F23/F19</f>
        <v>2.9899999999999947E-2</v>
      </c>
    </row>
  </sheetData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2BEC6-2219-014B-A19C-C1FD3F28F5BA}">
  <dimension ref="B3:S32"/>
  <sheetViews>
    <sheetView zoomScale="175" zoomScaleNormal="175" workbookViewId="0">
      <selection activeCell="B23" sqref="B23"/>
    </sheetView>
  </sheetViews>
  <sheetFormatPr defaultColWidth="11" defaultRowHeight="15.75"/>
  <cols>
    <col min="3" max="3" width="12.125" customWidth="1"/>
    <col min="4" max="4" width="15.375" customWidth="1"/>
    <col min="5" max="5" width="16.375" customWidth="1"/>
    <col min="6" max="6" width="15.125" customWidth="1"/>
    <col min="7" max="7" width="18.5" customWidth="1"/>
    <col min="13" max="13" width="16.375" bestFit="1" customWidth="1"/>
  </cols>
  <sheetData>
    <row r="3" spans="2:15">
      <c r="C3" t="s">
        <v>28</v>
      </c>
      <c r="D3" s="28">
        <v>0.1</v>
      </c>
    </row>
    <row r="4" spans="2:15">
      <c r="G4" s="10"/>
    </row>
    <row r="5" spans="2:15">
      <c r="B5" t="s">
        <v>0</v>
      </c>
      <c r="C5" t="s">
        <v>1</v>
      </c>
      <c r="D5" s="17">
        <f>D3*1000</f>
        <v>100</v>
      </c>
      <c r="F5" s="10"/>
    </row>
    <row r="6" spans="2:15">
      <c r="B6" t="s">
        <v>2</v>
      </c>
      <c r="C6" t="s">
        <v>3</v>
      </c>
      <c r="D6" s="18">
        <v>10</v>
      </c>
      <c r="F6" s="6"/>
    </row>
    <row r="7" spans="2:15">
      <c r="B7" t="s">
        <v>4</v>
      </c>
      <c r="C7" t="s">
        <v>5</v>
      </c>
      <c r="D7" s="17">
        <v>1000</v>
      </c>
    </row>
    <row r="8" spans="2:15">
      <c r="D8" s="18"/>
    </row>
    <row r="9" spans="2:15">
      <c r="B9" t="s">
        <v>6</v>
      </c>
      <c r="C9" t="s">
        <v>7</v>
      </c>
      <c r="D9" s="29">
        <v>0.1</v>
      </c>
      <c r="E9" s="20"/>
      <c r="F9" s="19"/>
      <c r="H9" s="2"/>
      <c r="O9" s="15"/>
    </row>
    <row r="11" spans="2:15">
      <c r="B11" t="s">
        <v>27</v>
      </c>
      <c r="C11" t="s">
        <v>29</v>
      </c>
      <c r="D11" s="1">
        <f>PV(D9,D6,D5,D7)</f>
        <v>-1000.0000000000001</v>
      </c>
    </row>
    <row r="14" spans="2:15">
      <c r="B14" t="s">
        <v>11</v>
      </c>
      <c r="C14" t="s">
        <v>12</v>
      </c>
      <c r="D14" t="s">
        <v>13</v>
      </c>
    </row>
    <row r="15" spans="2:15">
      <c r="B15">
        <v>0</v>
      </c>
      <c r="H15" s="1"/>
    </row>
    <row r="16" spans="2:15">
      <c r="B16">
        <f t="shared" ref="B16:B25" si="0">B15+1</f>
        <v>1</v>
      </c>
      <c r="C16" s="1">
        <f>D5</f>
        <v>100</v>
      </c>
      <c r="D16" s="3">
        <f>C16/(1+$D$9)^B16</f>
        <v>90.909090909090907</v>
      </c>
      <c r="F16" s="1"/>
      <c r="G16" s="3"/>
      <c r="H16" s="1"/>
      <c r="N16" s="3"/>
      <c r="O16" s="3"/>
    </row>
    <row r="17" spans="2:19">
      <c r="B17">
        <f t="shared" si="0"/>
        <v>2</v>
      </c>
      <c r="C17" s="1">
        <f t="shared" ref="C17:C24" si="1">C16</f>
        <v>100</v>
      </c>
      <c r="D17" s="3">
        <f t="shared" ref="D17:D24" si="2">C17/(1+$D$9)^B17</f>
        <v>82.644628099173545</v>
      </c>
      <c r="F17" s="1"/>
      <c r="G17" s="3"/>
      <c r="H17" s="1"/>
      <c r="N17" s="3"/>
      <c r="O17" s="3"/>
    </row>
    <row r="18" spans="2:19">
      <c r="B18">
        <f t="shared" si="0"/>
        <v>3</v>
      </c>
      <c r="C18" s="1">
        <f t="shared" si="1"/>
        <v>100</v>
      </c>
      <c r="D18" s="3">
        <f t="shared" si="2"/>
        <v>75.131480090157751</v>
      </c>
      <c r="F18" s="1"/>
      <c r="G18" s="3"/>
      <c r="H18" s="1"/>
      <c r="N18" s="3"/>
      <c r="O18" s="16"/>
      <c r="P18" s="11"/>
      <c r="Q18" s="11"/>
    </row>
    <row r="19" spans="2:19">
      <c r="B19">
        <f t="shared" si="0"/>
        <v>4</v>
      </c>
      <c r="C19" s="1">
        <f t="shared" si="1"/>
        <v>100</v>
      </c>
      <c r="D19" s="3">
        <f t="shared" si="2"/>
        <v>68.301345536507057</v>
      </c>
      <c r="F19" s="1"/>
      <c r="G19" s="3"/>
      <c r="H19" s="1"/>
      <c r="N19" s="3"/>
      <c r="O19" s="2"/>
      <c r="P19" s="2"/>
      <c r="Q19" s="2"/>
    </row>
    <row r="20" spans="2:19">
      <c r="B20">
        <f t="shared" si="0"/>
        <v>5</v>
      </c>
      <c r="C20" s="1">
        <f t="shared" si="1"/>
        <v>100</v>
      </c>
      <c r="D20" s="3">
        <f t="shared" si="2"/>
        <v>62.092132305915499</v>
      </c>
      <c r="F20" s="1"/>
      <c r="G20" s="3"/>
      <c r="H20" s="1"/>
      <c r="N20" s="3"/>
      <c r="O20" s="3"/>
      <c r="S20" s="14"/>
    </row>
    <row r="21" spans="2:19">
      <c r="B21">
        <f t="shared" si="0"/>
        <v>6</v>
      </c>
      <c r="C21" s="1">
        <f t="shared" si="1"/>
        <v>100</v>
      </c>
      <c r="D21" s="3">
        <f t="shared" si="2"/>
        <v>56.44739300537772</v>
      </c>
      <c r="F21" s="1"/>
      <c r="G21" s="3"/>
      <c r="H21" s="1"/>
      <c r="N21" s="3"/>
      <c r="O21" s="3"/>
      <c r="P21" s="1"/>
    </row>
    <row r="22" spans="2:19">
      <c r="B22">
        <f t="shared" si="0"/>
        <v>7</v>
      </c>
      <c r="C22" s="1">
        <f t="shared" si="1"/>
        <v>100</v>
      </c>
      <c r="D22" s="3">
        <f t="shared" si="2"/>
        <v>51.315811823070646</v>
      </c>
      <c r="F22" s="1"/>
      <c r="G22" s="3"/>
      <c r="H22" s="1"/>
      <c r="N22" s="3"/>
      <c r="O22" s="2"/>
      <c r="P22" s="2"/>
      <c r="S22" s="9"/>
    </row>
    <row r="23" spans="2:19">
      <c r="B23">
        <f t="shared" si="0"/>
        <v>8</v>
      </c>
      <c r="C23" s="1">
        <f t="shared" si="1"/>
        <v>100</v>
      </c>
      <c r="D23" s="3">
        <f t="shared" si="2"/>
        <v>46.650738020973314</v>
      </c>
      <c r="F23" s="1"/>
      <c r="G23" s="3"/>
      <c r="H23" s="1"/>
      <c r="N23" s="3"/>
      <c r="O23" s="3"/>
      <c r="P23" s="1"/>
    </row>
    <row r="24" spans="2:19">
      <c r="B24">
        <f t="shared" si="0"/>
        <v>9</v>
      </c>
      <c r="C24" s="1">
        <f t="shared" si="1"/>
        <v>100</v>
      </c>
      <c r="D24" s="3">
        <f t="shared" si="2"/>
        <v>42.409761837248467</v>
      </c>
      <c r="F24" s="1"/>
      <c r="G24" s="3"/>
      <c r="H24" s="1"/>
      <c r="N24" s="3"/>
      <c r="S24" s="13"/>
    </row>
    <row r="25" spans="2:19">
      <c r="B25">
        <f t="shared" si="0"/>
        <v>10</v>
      </c>
      <c r="C25" s="1">
        <f>D7+D5</f>
        <v>1100</v>
      </c>
      <c r="D25" s="3">
        <f>C25/(1+$D$9)^B25</f>
        <v>424.09761837248459</v>
      </c>
      <c r="F25" s="1"/>
      <c r="G25" s="3"/>
      <c r="H25" s="1"/>
      <c r="J25" s="6"/>
      <c r="N25" s="3"/>
      <c r="O25" s="3"/>
      <c r="S25" s="9"/>
    </row>
    <row r="26" spans="2:19">
      <c r="N26" s="3"/>
      <c r="O26" s="3"/>
      <c r="P26" s="3"/>
    </row>
    <row r="27" spans="2:19">
      <c r="B27" t="s">
        <v>26</v>
      </c>
      <c r="C27" s="1">
        <f>SUM(C16:C25)</f>
        <v>2000</v>
      </c>
      <c r="D27" s="1">
        <f>SUM(D16:D25)</f>
        <v>999.99999999999943</v>
      </c>
      <c r="F27" s="1"/>
      <c r="J27" s="6"/>
      <c r="N27" s="3"/>
      <c r="O27" s="3"/>
    </row>
    <row r="28" spans="2:19">
      <c r="F28" s="8"/>
    </row>
    <row r="29" spans="2:19">
      <c r="S29" s="13"/>
    </row>
    <row r="32" spans="2:19">
      <c r="P32" s="2"/>
    </row>
  </sheetData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CB28B-4A5A-584B-9C6E-01E2B8C13A27}">
  <dimension ref="B3:R30"/>
  <sheetViews>
    <sheetView zoomScale="175" zoomScaleNormal="175" workbookViewId="0">
      <selection activeCell="D8" sqref="D8"/>
    </sheetView>
  </sheetViews>
  <sheetFormatPr defaultColWidth="11" defaultRowHeight="15.75"/>
  <cols>
    <col min="1" max="1" width="15.375" customWidth="1"/>
    <col min="2" max="2" width="13.5" customWidth="1"/>
    <col min="6" max="6" width="19.5" customWidth="1"/>
    <col min="7" max="7" width="11.375" bestFit="1" customWidth="1"/>
    <col min="8" max="8" width="20.5" customWidth="1"/>
    <col min="9" max="9" width="23" customWidth="1"/>
    <col min="10" max="10" width="20" bestFit="1" customWidth="1"/>
  </cols>
  <sheetData>
    <row r="3" spans="2:18">
      <c r="C3" s="1"/>
      <c r="N3" s="1"/>
    </row>
    <row r="4" spans="2:18">
      <c r="C4" s="1" t="s">
        <v>28</v>
      </c>
      <c r="D4" s="30">
        <v>0.1</v>
      </c>
    </row>
    <row r="5" spans="2:18">
      <c r="B5" t="s">
        <v>0</v>
      </c>
      <c r="C5" t="s">
        <v>53</v>
      </c>
      <c r="D5" s="1">
        <f>D4*D7</f>
        <v>100</v>
      </c>
      <c r="J5" s="3"/>
    </row>
    <row r="6" spans="2:18">
      <c r="B6" t="s">
        <v>2</v>
      </c>
      <c r="C6" t="s">
        <v>3</v>
      </c>
      <c r="D6">
        <v>10</v>
      </c>
      <c r="J6" s="3"/>
    </row>
    <row r="7" spans="2:18">
      <c r="B7" t="s">
        <v>4</v>
      </c>
      <c r="C7" t="s">
        <v>5</v>
      </c>
      <c r="D7" s="1">
        <v>1000</v>
      </c>
    </row>
    <row r="8" spans="2:18">
      <c r="M8" s="5"/>
    </row>
    <row r="9" spans="2:18">
      <c r="B9" t="s">
        <v>6</v>
      </c>
      <c r="C9" t="s">
        <v>7</v>
      </c>
      <c r="D9" s="30">
        <v>0</v>
      </c>
      <c r="M9" s="7"/>
    </row>
    <row r="11" spans="2:18">
      <c r="C11" t="s">
        <v>9</v>
      </c>
      <c r="D11" s="3">
        <f>PV(D9,D6,D5,D7)</f>
        <v>-2000</v>
      </c>
      <c r="E11" s="3"/>
    </row>
    <row r="12" spans="2:18">
      <c r="C12" s="3"/>
      <c r="D12" s="2"/>
      <c r="E12" s="3"/>
      <c r="N12" s="3"/>
    </row>
    <row r="13" spans="2:18">
      <c r="M13" s="11"/>
      <c r="N13" s="11"/>
      <c r="Q13" s="11"/>
      <c r="R13" s="11"/>
    </row>
    <row r="14" spans="2:18">
      <c r="C14" s="2"/>
      <c r="N14" s="2"/>
      <c r="Q14" s="6"/>
      <c r="R14" s="8"/>
    </row>
    <row r="15" spans="2:18">
      <c r="N15" s="2"/>
      <c r="Q15" s="6"/>
      <c r="R15" s="8"/>
    </row>
    <row r="16" spans="2:18">
      <c r="Q16" s="8"/>
    </row>
    <row r="17" spans="2:18">
      <c r="B17" s="11" t="s">
        <v>30</v>
      </c>
      <c r="C17" s="11" t="s">
        <v>31</v>
      </c>
      <c r="D17" s="11" t="s">
        <v>32</v>
      </c>
      <c r="E17" s="11" t="s">
        <v>33</v>
      </c>
      <c r="F17" s="11" t="s">
        <v>31</v>
      </c>
      <c r="G17" s="11" t="s">
        <v>34</v>
      </c>
      <c r="R17" s="4"/>
    </row>
    <row r="18" spans="2:18">
      <c r="B18" t="s">
        <v>35</v>
      </c>
      <c r="C18" s="4">
        <v>-0.01</v>
      </c>
      <c r="D18" s="4">
        <f>C18+D9</f>
        <v>-0.01</v>
      </c>
      <c r="E18" s="3">
        <f>PV(D18,$D$6,$D$5,$D$7)</f>
        <v>-2163.0009085406887</v>
      </c>
      <c r="F18" s="8">
        <f>E18/$D$11-1</f>
        <v>8.1500454270344358E-2</v>
      </c>
      <c r="G18" s="8">
        <f>ABS(F18)</f>
        <v>8.1500454270344358E-2</v>
      </c>
    </row>
    <row r="19" spans="2:18">
      <c r="B19" t="s">
        <v>36</v>
      </c>
      <c r="C19" s="4">
        <v>0.01</v>
      </c>
      <c r="D19" s="4">
        <f>C19+D9</f>
        <v>0.01</v>
      </c>
      <c r="E19" s="3">
        <f>PV(D19,$D$6,$D$5,$D$7)</f>
        <v>-1852.4174077631519</v>
      </c>
      <c r="F19" s="8">
        <f>E19/$D$11-1</f>
        <v>-7.3791296118424055E-2</v>
      </c>
      <c r="G19" s="8">
        <f>ABS(F19)</f>
        <v>7.3791296118424055E-2</v>
      </c>
    </row>
    <row r="20" spans="2:18">
      <c r="F20" s="8"/>
      <c r="R20" s="9"/>
    </row>
    <row r="21" spans="2:18">
      <c r="F21" s="10" t="s">
        <v>37</v>
      </c>
      <c r="G21" s="27">
        <f>((ABS(E19)-ABS(E18))/(2*C19*D11))</f>
        <v>7.7645875194384191</v>
      </c>
    </row>
    <row r="22" spans="2:18">
      <c r="I22" s="13"/>
    </row>
    <row r="24" spans="2:18">
      <c r="G24" s="9"/>
    </row>
    <row r="25" spans="2:18">
      <c r="R25" s="13"/>
    </row>
    <row r="26" spans="2:18">
      <c r="B26" s="4"/>
    </row>
    <row r="27" spans="2:18">
      <c r="B27" s="4"/>
      <c r="E27" s="3"/>
    </row>
    <row r="28" spans="2:18">
      <c r="G28" s="13"/>
    </row>
    <row r="30" spans="2:18">
      <c r="G30" s="3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8ED6-DF2E-7841-B7D1-68C4B0A0A2C7}">
  <dimension ref="A1:J49"/>
  <sheetViews>
    <sheetView zoomScale="160" zoomScaleNormal="160" workbookViewId="0">
      <selection activeCell="C3" sqref="C3:C4"/>
    </sheetView>
  </sheetViews>
  <sheetFormatPr defaultColWidth="11" defaultRowHeight="15.75"/>
  <sheetData>
    <row r="1" spans="1:4" ht="16.5" thickBot="1"/>
    <row r="2" spans="1:4">
      <c r="B2" s="23" t="s">
        <v>38</v>
      </c>
      <c r="C2" s="26">
        <v>1000</v>
      </c>
      <c r="D2" s="23" t="s">
        <v>4</v>
      </c>
    </row>
    <row r="3" spans="1:4">
      <c r="B3" s="24" t="s">
        <v>23</v>
      </c>
      <c r="C3" s="31">
        <v>100</v>
      </c>
      <c r="D3" s="24" t="s">
        <v>0</v>
      </c>
    </row>
    <row r="4" spans="1:4" ht="16.5" thickBot="1">
      <c r="B4" s="25" t="s">
        <v>39</v>
      </c>
      <c r="C4" s="32">
        <v>30</v>
      </c>
      <c r="D4" s="25" t="s">
        <v>2</v>
      </c>
    </row>
    <row r="7" spans="1:4">
      <c r="B7" s="2">
        <v>0.3</v>
      </c>
      <c r="C7" s="3">
        <f>PV(B7,$C$4,$C$3,1000)</f>
        <v>-333.58778668262897</v>
      </c>
      <c r="D7" s="3">
        <f>C7*-1</f>
        <v>333.58778668262897</v>
      </c>
    </row>
    <row r="8" spans="1:4">
      <c r="B8" s="2">
        <f>B7-1%</f>
        <v>0.28999999999999998</v>
      </c>
      <c r="C8" s="3">
        <f t="shared" ref="C7:C36" si="0">PV(B8,$C$4,$C$3,1000)</f>
        <v>-345.14284288430645</v>
      </c>
      <c r="D8" s="3">
        <f t="shared" ref="D7:D14" si="1">C8*-1</f>
        <v>345.14284288430645</v>
      </c>
    </row>
    <row r="9" spans="1:4">
      <c r="B9" s="2">
        <f t="shared" ref="B9:B36" si="2">B8-1%</f>
        <v>0.27999999999999997</v>
      </c>
      <c r="C9" s="3">
        <f t="shared" si="0"/>
        <v>-357.53353193011128</v>
      </c>
      <c r="D9" s="3">
        <f t="shared" si="1"/>
        <v>357.53353193011128</v>
      </c>
    </row>
    <row r="10" spans="1:4">
      <c r="B10" s="2">
        <f t="shared" si="2"/>
        <v>0.26999999999999996</v>
      </c>
      <c r="C10" s="3">
        <f t="shared" si="0"/>
        <v>-370.85451322719831</v>
      </c>
      <c r="D10" s="3">
        <f t="shared" si="1"/>
        <v>370.85451322719831</v>
      </c>
    </row>
    <row r="11" spans="1:4">
      <c r="B11" s="2">
        <f t="shared" si="2"/>
        <v>0.25999999999999995</v>
      </c>
      <c r="C11" s="3">
        <f t="shared" si="0"/>
        <v>-385.21521751349712</v>
      </c>
      <c r="D11" s="3">
        <f t="shared" si="1"/>
        <v>385.21521751349712</v>
      </c>
    </row>
    <row r="12" spans="1:4">
      <c r="B12" s="2">
        <f t="shared" si="2"/>
        <v>0.24999999999999994</v>
      </c>
      <c r="C12" s="3">
        <f t="shared" si="0"/>
        <v>-400.74276402357134</v>
      </c>
      <c r="D12" s="3">
        <f t="shared" si="1"/>
        <v>400.74276402357134</v>
      </c>
    </row>
    <row r="13" spans="1:4">
      <c r="A13" s="3">
        <f>D13-D14</f>
        <v>-18.332219601128884</v>
      </c>
      <c r="B13" s="2">
        <f t="shared" si="2"/>
        <v>0.23999999999999994</v>
      </c>
      <c r="C13" s="3">
        <f t="shared" si="0"/>
        <v>-417.58556240869291</v>
      </c>
      <c r="D13" s="3">
        <f t="shared" si="1"/>
        <v>417.58556240869291</v>
      </c>
    </row>
    <row r="14" spans="1:4">
      <c r="A14" s="8">
        <f>AVERAGE(A13,A15)/C14</f>
        <v>4.3998391310394853E-2</v>
      </c>
      <c r="B14" s="2">
        <f t="shared" si="2"/>
        <v>0.22999999999999993</v>
      </c>
      <c r="C14" s="3">
        <f t="shared" si="0"/>
        <v>-435.91778200982179</v>
      </c>
      <c r="D14" s="3">
        <f t="shared" si="1"/>
        <v>435.91778200982179</v>
      </c>
    </row>
    <row r="15" spans="1:4">
      <c r="A15" s="3">
        <f>-(D15-D14)</f>
        <v>-20.027142702926199</v>
      </c>
      <c r="B15" s="2">
        <f t="shared" si="2"/>
        <v>0.21999999999999992</v>
      </c>
      <c r="C15" s="3">
        <f t="shared" si="0"/>
        <v>-455.94492471274799</v>
      </c>
      <c r="D15" s="3">
        <f t="shared" ref="D15:D36" si="3">C15*-1</f>
        <v>455.94492471274799</v>
      </c>
    </row>
    <row r="16" spans="1:4">
      <c r="B16" s="2">
        <f t="shared" si="2"/>
        <v>0.20999999999999991</v>
      </c>
      <c r="C16" s="3">
        <f t="shared" si="0"/>
        <v>-477.91080824267652</v>
      </c>
      <c r="D16" s="3">
        <f t="shared" si="3"/>
        <v>477.91080824267652</v>
      </c>
    </row>
    <row r="17" spans="1:4">
      <c r="B17" s="2">
        <f t="shared" si="2"/>
        <v>0.1999999999999999</v>
      </c>
      <c r="C17" s="3">
        <f t="shared" si="0"/>
        <v>-502.10636011654401</v>
      </c>
      <c r="D17" s="3">
        <f t="shared" si="3"/>
        <v>502.10636011654401</v>
      </c>
    </row>
    <row r="18" spans="1:4">
      <c r="B18" s="2">
        <f t="shared" si="2"/>
        <v>0.18999999999999989</v>
      </c>
      <c r="C18" s="3">
        <f t="shared" si="0"/>
        <v>-528.88074634312591</v>
      </c>
      <c r="D18" s="3">
        <f t="shared" si="3"/>
        <v>528.88074634312591</v>
      </c>
    </row>
    <row r="19" spans="1:4">
      <c r="B19" s="2">
        <f t="shared" si="2"/>
        <v>0.17999999999999988</v>
      </c>
      <c r="C19" s="3">
        <f t="shared" si="0"/>
        <v>-558.65552392625455</v>
      </c>
      <c r="D19" s="3">
        <f t="shared" si="3"/>
        <v>558.65552392625455</v>
      </c>
    </row>
    <row r="20" spans="1:4">
      <c r="A20" s="3"/>
      <c r="B20" s="2">
        <f t="shared" si="2"/>
        <v>0.16999999999999987</v>
      </c>
      <c r="C20" s="3">
        <f t="shared" si="0"/>
        <v>-591.94272673319188</v>
      </c>
      <c r="D20" s="3">
        <f t="shared" si="3"/>
        <v>591.94272673319188</v>
      </c>
    </row>
    <row r="21" spans="1:4">
      <c r="A21" s="3">
        <f>D21-D22</f>
        <v>-42.332928034475572</v>
      </c>
      <c r="B21" s="2">
        <f t="shared" si="2"/>
        <v>0.15999999999999986</v>
      </c>
      <c r="C21" s="3">
        <f t="shared" si="0"/>
        <v>-629.36809013015329</v>
      </c>
      <c r="D21" s="3">
        <f t="shared" si="3"/>
        <v>629.36809013015329</v>
      </c>
    </row>
    <row r="22" spans="1:4">
      <c r="A22" s="8">
        <f>AVERAGE(A21,A23)/C22</f>
        <v>6.7385148252493518E-2</v>
      </c>
      <c r="B22" s="2">
        <f t="shared" si="2"/>
        <v>0.14999999999999986</v>
      </c>
      <c r="C22" s="3">
        <f t="shared" si="0"/>
        <v>-671.70101816462886</v>
      </c>
      <c r="D22" s="3">
        <f t="shared" si="3"/>
        <v>671.70101816462886</v>
      </c>
    </row>
    <row r="23" spans="1:4">
      <c r="A23" s="3">
        <f>-(D23-D22)</f>
        <v>-48.192417346273146</v>
      </c>
      <c r="B23" s="2">
        <f t="shared" si="2"/>
        <v>0.13999999999999985</v>
      </c>
      <c r="C23" s="3">
        <f t="shared" si="0"/>
        <v>-719.89343551090201</v>
      </c>
      <c r="D23" s="3">
        <f t="shared" si="3"/>
        <v>719.89343551090201</v>
      </c>
    </row>
    <row r="24" spans="1:4">
      <c r="B24" s="2">
        <f t="shared" si="2"/>
        <v>0.12999999999999984</v>
      </c>
      <c r="C24" s="3">
        <f t="shared" si="0"/>
        <v>-775.13039682006638</v>
      </c>
      <c r="D24" s="3">
        <f t="shared" si="3"/>
        <v>775.13039682006638</v>
      </c>
    </row>
    <row r="25" spans="1:4">
      <c r="B25" s="2">
        <f t="shared" si="2"/>
        <v>0.11999999999999984</v>
      </c>
      <c r="C25" s="3">
        <f t="shared" si="0"/>
        <v>-838.89632064665386</v>
      </c>
      <c r="D25" s="3">
        <f t="shared" si="3"/>
        <v>838.89632064665386</v>
      </c>
    </row>
    <row r="26" spans="1:4">
      <c r="B26" s="2">
        <f t="shared" si="2"/>
        <v>0.10999999999999985</v>
      </c>
      <c r="C26" s="3">
        <f t="shared" si="0"/>
        <v>-913.06207426534002</v>
      </c>
      <c r="D26" s="3">
        <f t="shared" si="3"/>
        <v>913.06207426534002</v>
      </c>
    </row>
    <row r="27" spans="1:4">
      <c r="B27" s="21">
        <f t="shared" si="2"/>
        <v>9.9999999999999853E-2</v>
      </c>
      <c r="C27" s="22">
        <f t="shared" si="0"/>
        <v>-1000.0000000000014</v>
      </c>
      <c r="D27" s="22">
        <f t="shared" si="3"/>
        <v>1000.0000000000014</v>
      </c>
    </row>
    <row r="28" spans="1:4">
      <c r="B28" s="2">
        <f t="shared" si="2"/>
        <v>8.9999999999999858E-2</v>
      </c>
      <c r="C28" s="3">
        <f t="shared" si="0"/>
        <v>-1102.7365404302188</v>
      </c>
      <c r="D28" s="3">
        <f t="shared" si="3"/>
        <v>1102.7365404302188</v>
      </c>
    </row>
    <row r="29" spans="1:4">
      <c r="A29" s="3">
        <f>D30-D29</f>
        <v>147.11556864262616</v>
      </c>
      <c r="B29" s="2">
        <f t="shared" si="2"/>
        <v>7.9999999999999863E-2</v>
      </c>
      <c r="C29" s="3">
        <f t="shared" si="0"/>
        <v>-1225.1556668625515</v>
      </c>
      <c r="D29" s="3">
        <f t="shared" si="3"/>
        <v>1225.1556668625515</v>
      </c>
    </row>
    <row r="30" spans="1:4">
      <c r="A30" s="8">
        <f>-AVERAGE(A29,A31)/C30</f>
        <v>0.11857625911586783</v>
      </c>
      <c r="B30" s="2">
        <f t="shared" si="2"/>
        <v>6.9999999999999868E-2</v>
      </c>
      <c r="C30" s="3">
        <f t="shared" si="0"/>
        <v>-1372.2712355051776</v>
      </c>
      <c r="D30" s="3">
        <f t="shared" si="3"/>
        <v>1372.2712355051776</v>
      </c>
    </row>
    <row r="31" spans="1:4">
      <c r="A31" s="3">
        <f>D31-D30</f>
        <v>178.32201055440191</v>
      </c>
      <c r="B31" s="2">
        <f t="shared" si="2"/>
        <v>5.9999999999999866E-2</v>
      </c>
      <c r="C31" s="3">
        <f t="shared" si="0"/>
        <v>-1550.5932460595795</v>
      </c>
      <c r="D31" s="3">
        <f t="shared" si="3"/>
        <v>1550.5932460595795</v>
      </c>
    </row>
    <row r="32" spans="1:4">
      <c r="B32" s="2">
        <f t="shared" si="2"/>
        <v>4.9999999999999864E-2</v>
      </c>
      <c r="C32" s="3">
        <f t="shared" si="0"/>
        <v>-1768.6225513441448</v>
      </c>
      <c r="D32" s="3">
        <f t="shared" si="3"/>
        <v>1768.6225513441448</v>
      </c>
    </row>
    <row r="33" spans="1:10">
      <c r="B33" s="2">
        <f t="shared" si="2"/>
        <v>3.9999999999999862E-2</v>
      </c>
      <c r="C33" s="3">
        <f t="shared" si="0"/>
        <v>-2037.5219980398729</v>
      </c>
      <c r="D33" s="3">
        <f t="shared" si="3"/>
        <v>2037.5219980398729</v>
      </c>
    </row>
    <row r="34" spans="1:10">
      <c r="A34" s="3">
        <f>D35-D34</f>
        <v>419.68554961746668</v>
      </c>
      <c r="B34" s="2">
        <f t="shared" si="2"/>
        <v>2.999999999999986E-2</v>
      </c>
      <c r="C34" s="3">
        <f t="shared" si="0"/>
        <v>-2372.0308944628873</v>
      </c>
      <c r="D34" s="3">
        <f t="shared" si="3"/>
        <v>2372.0308944628873</v>
      </c>
    </row>
    <row r="35" spans="1:10">
      <c r="A35" s="8">
        <f>-AVERAGE(A34,A36)/C35</f>
        <v>0.17026493637432341</v>
      </c>
      <c r="B35" s="2">
        <f t="shared" si="2"/>
        <v>1.9999999999999858E-2</v>
      </c>
      <c r="C35" s="3">
        <f t="shared" si="0"/>
        <v>-2791.716444080354</v>
      </c>
      <c r="D35" s="3">
        <f t="shared" si="3"/>
        <v>2791.716444080354</v>
      </c>
    </row>
    <row r="36" spans="1:10">
      <c r="A36" s="3">
        <f>D36-D35</f>
        <v>530.97729583552109</v>
      </c>
      <c r="B36" s="2">
        <f t="shared" si="2"/>
        <v>9.999999999999858E-3</v>
      </c>
      <c r="C36" s="3">
        <f t="shared" si="0"/>
        <v>-3322.6937399158751</v>
      </c>
      <c r="D36" s="3">
        <f t="shared" si="3"/>
        <v>3322.6937399158751</v>
      </c>
    </row>
    <row r="37" spans="1:10">
      <c r="B37" s="2"/>
      <c r="C37" s="3"/>
      <c r="D37" s="3"/>
    </row>
    <row r="38" spans="1:10">
      <c r="B38" s="4"/>
    </row>
    <row r="39" spans="1:10">
      <c r="B39" s="4"/>
    </row>
    <row r="40" spans="1:10">
      <c r="B40" s="4"/>
    </row>
    <row r="45" spans="1:10">
      <c r="I45">
        <v>10</v>
      </c>
    </row>
    <row r="48" spans="1:10">
      <c r="I48">
        <v>10</v>
      </c>
      <c r="J48">
        <v>10</v>
      </c>
    </row>
    <row r="49" spans="9:10">
      <c r="I49" s="2">
        <v>0.05</v>
      </c>
      <c r="J49">
        <v>0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599E6-E0E9-4641-B6F5-12B5D1381A9B}">
  <dimension ref="C3:N30"/>
  <sheetViews>
    <sheetView zoomScale="150" zoomScaleNormal="150" workbookViewId="0">
      <selection activeCell="E11" sqref="E11"/>
    </sheetView>
  </sheetViews>
  <sheetFormatPr defaultColWidth="11" defaultRowHeight="15.75"/>
  <sheetData>
    <row r="3" spans="3:14">
      <c r="C3" t="s">
        <v>40</v>
      </c>
      <c r="D3" s="33">
        <v>1000</v>
      </c>
    </row>
    <row r="4" spans="3:14">
      <c r="C4" t="s">
        <v>23</v>
      </c>
      <c r="D4" s="33">
        <v>100</v>
      </c>
      <c r="F4">
        <v>1</v>
      </c>
      <c r="G4">
        <f>D4</f>
        <v>100</v>
      </c>
      <c r="H4">
        <f t="shared" ref="H4:H13" si="0">G4/(1+$D$5)^F4</f>
        <v>90.909090909090907</v>
      </c>
      <c r="I4">
        <f t="shared" ref="I4:I13" si="1">F4+F4^2</f>
        <v>2</v>
      </c>
      <c r="J4">
        <f t="shared" ref="J4:J12" si="2">I4*H4</f>
        <v>181.81818181818181</v>
      </c>
      <c r="L4" s="12"/>
      <c r="M4" s="13"/>
    </row>
    <row r="5" spans="3:14">
      <c r="C5" t="s">
        <v>41</v>
      </c>
      <c r="D5" s="34">
        <v>0.1</v>
      </c>
      <c r="F5">
        <v>2</v>
      </c>
      <c r="G5">
        <f t="shared" ref="G5:G12" si="3">G4</f>
        <v>100</v>
      </c>
      <c r="H5">
        <f t="shared" si="0"/>
        <v>82.644628099173545</v>
      </c>
      <c r="I5">
        <f t="shared" si="1"/>
        <v>6</v>
      </c>
      <c r="J5">
        <f t="shared" si="2"/>
        <v>495.8677685950413</v>
      </c>
      <c r="L5" s="12"/>
      <c r="M5" s="13"/>
    </row>
    <row r="6" spans="3:14">
      <c r="C6" t="s">
        <v>42</v>
      </c>
      <c r="D6" s="33">
        <v>10</v>
      </c>
      <c r="F6">
        <v>3</v>
      </c>
      <c r="G6">
        <f t="shared" si="3"/>
        <v>100</v>
      </c>
      <c r="H6">
        <f t="shared" si="0"/>
        <v>75.131480090157751</v>
      </c>
      <c r="I6">
        <f t="shared" si="1"/>
        <v>12</v>
      </c>
      <c r="J6">
        <f t="shared" si="2"/>
        <v>901.57776108189296</v>
      </c>
      <c r="L6" s="12"/>
      <c r="M6" s="13"/>
    </row>
    <row r="7" spans="3:14">
      <c r="F7">
        <v>4</v>
      </c>
      <c r="G7">
        <f t="shared" si="3"/>
        <v>100</v>
      </c>
      <c r="H7">
        <f t="shared" si="0"/>
        <v>68.301345536507057</v>
      </c>
      <c r="I7">
        <f t="shared" si="1"/>
        <v>20</v>
      </c>
      <c r="J7">
        <f t="shared" si="2"/>
        <v>1366.026910730141</v>
      </c>
      <c r="L7" s="12"/>
      <c r="M7" s="13"/>
    </row>
    <row r="8" spans="3:14">
      <c r="C8" t="s">
        <v>27</v>
      </c>
      <c r="D8" s="3">
        <f>PV(D5,D6,D4,D3)</f>
        <v>-1000.0000000000001</v>
      </c>
      <c r="F8">
        <v>5</v>
      </c>
      <c r="G8">
        <f t="shared" si="3"/>
        <v>100</v>
      </c>
      <c r="H8">
        <f t="shared" si="0"/>
        <v>62.092132305915499</v>
      </c>
      <c r="I8">
        <f t="shared" si="1"/>
        <v>30</v>
      </c>
      <c r="J8">
        <f t="shared" si="2"/>
        <v>1862.763969177465</v>
      </c>
      <c r="L8" s="12"/>
      <c r="M8" s="13"/>
    </row>
    <row r="9" spans="3:14">
      <c r="F9">
        <v>6</v>
      </c>
      <c r="G9">
        <f t="shared" si="3"/>
        <v>100</v>
      </c>
      <c r="H9">
        <f t="shared" si="0"/>
        <v>56.44739300537772</v>
      </c>
      <c r="I9">
        <f t="shared" si="1"/>
        <v>42</v>
      </c>
      <c r="J9">
        <f t="shared" si="2"/>
        <v>2370.7905062258642</v>
      </c>
      <c r="L9" s="12"/>
      <c r="M9" s="13"/>
    </row>
    <row r="10" spans="3:14">
      <c r="F10">
        <v>7</v>
      </c>
      <c r="G10">
        <f t="shared" si="3"/>
        <v>100</v>
      </c>
      <c r="H10">
        <f t="shared" si="0"/>
        <v>51.315811823070646</v>
      </c>
      <c r="I10">
        <f t="shared" si="1"/>
        <v>56</v>
      </c>
      <c r="J10">
        <f t="shared" si="2"/>
        <v>2873.6854620919562</v>
      </c>
      <c r="L10" s="12"/>
      <c r="M10" s="13"/>
    </row>
    <row r="11" spans="3:14">
      <c r="F11">
        <v>8</v>
      </c>
      <c r="G11">
        <f t="shared" si="3"/>
        <v>100</v>
      </c>
      <c r="H11">
        <f t="shared" si="0"/>
        <v>46.650738020973314</v>
      </c>
      <c r="I11">
        <f t="shared" si="1"/>
        <v>72</v>
      </c>
      <c r="J11">
        <f t="shared" si="2"/>
        <v>3358.8531375100788</v>
      </c>
      <c r="L11" s="12"/>
      <c r="M11" s="13"/>
    </row>
    <row r="12" spans="3:14">
      <c r="F12">
        <v>9</v>
      </c>
      <c r="G12">
        <f t="shared" si="3"/>
        <v>100</v>
      </c>
      <c r="H12">
        <f t="shared" si="0"/>
        <v>42.409761837248467</v>
      </c>
      <c r="I12">
        <f t="shared" si="1"/>
        <v>90</v>
      </c>
      <c r="J12">
        <f t="shared" si="2"/>
        <v>3816.8785653523619</v>
      </c>
      <c r="L12" s="12"/>
      <c r="M12" s="13"/>
    </row>
    <row r="13" spans="3:14">
      <c r="F13">
        <v>10</v>
      </c>
      <c r="G13">
        <f>G12+D3</f>
        <v>1100</v>
      </c>
      <c r="H13">
        <f t="shared" si="0"/>
        <v>424.09761837248459</v>
      </c>
      <c r="I13">
        <f t="shared" si="1"/>
        <v>110</v>
      </c>
      <c r="J13">
        <f>I13*H13</f>
        <v>46650.738020973302</v>
      </c>
      <c r="L13" s="12"/>
      <c r="M13" s="13"/>
      <c r="N13" t="s">
        <v>43</v>
      </c>
    </row>
    <row r="15" spans="3:14">
      <c r="H15">
        <f>SUM(H4:H13)</f>
        <v>999.99999999999943</v>
      </c>
      <c r="J15">
        <f>SUM(J4:J13)</f>
        <v>63879.000283556285</v>
      </c>
    </row>
    <row r="16" spans="3:14">
      <c r="M16" s="13"/>
    </row>
    <row r="17" spans="7:10">
      <c r="G17" s="12"/>
      <c r="J17" s="13">
        <f>J15/(1+D5)^2/-D8</f>
        <v>52.792562217815096</v>
      </c>
    </row>
    <row r="23" spans="7:10">
      <c r="J23" s="3"/>
    </row>
    <row r="30" spans="7:10">
      <c r="J30" s="3"/>
    </row>
  </sheetData>
  <pageMargins left="0.7" right="0.7" top="0.75" bottom="0.75" header="0.3" footer="0.3"/>
  <pageSetup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2AFC-48FC-D84D-984D-2D2931FEE47F}">
  <dimension ref="B5:J15"/>
  <sheetViews>
    <sheetView tabSelected="1" zoomScale="125" zoomScaleNormal="125" workbookViewId="0">
      <selection activeCell="L1" sqref="L1:L1048576"/>
    </sheetView>
  </sheetViews>
  <sheetFormatPr defaultColWidth="11" defaultRowHeight="15.75"/>
  <cols>
    <col min="2" max="2" width="36.25" bestFit="1" customWidth="1"/>
    <col min="4" max="4" width="22.375" customWidth="1"/>
    <col min="5" max="5" width="10" customWidth="1"/>
    <col min="6" max="6" width="17.125" customWidth="1"/>
  </cols>
  <sheetData>
    <row r="5" spans="2:10">
      <c r="B5" s="11" t="s">
        <v>44</v>
      </c>
      <c r="H5" t="s">
        <v>0</v>
      </c>
      <c r="I5" t="s">
        <v>1</v>
      </c>
      <c r="J5" s="1">
        <v>100</v>
      </c>
    </row>
    <row r="6" spans="2:10">
      <c r="B6" t="s">
        <v>45</v>
      </c>
      <c r="C6" s="33">
        <v>6.14</v>
      </c>
      <c r="H6" t="s">
        <v>2</v>
      </c>
      <c r="I6" t="s">
        <v>3</v>
      </c>
      <c r="J6">
        <v>10</v>
      </c>
    </row>
    <row r="7" spans="2:10">
      <c r="B7" t="s">
        <v>46</v>
      </c>
      <c r="C7" s="33">
        <v>52</v>
      </c>
      <c r="H7" t="s">
        <v>4</v>
      </c>
      <c r="I7" t="s">
        <v>5</v>
      </c>
      <c r="J7" s="1">
        <v>1000</v>
      </c>
    </row>
    <row r="9" spans="2:10">
      <c r="B9" t="s">
        <v>47</v>
      </c>
      <c r="C9" s="34">
        <v>0.01</v>
      </c>
      <c r="H9" t="s">
        <v>6</v>
      </c>
      <c r="I9" t="s">
        <v>7</v>
      </c>
      <c r="J9" s="19">
        <v>0.1</v>
      </c>
    </row>
    <row r="11" spans="2:10">
      <c r="B11" s="11" t="s">
        <v>48</v>
      </c>
      <c r="I11" t="s">
        <v>9</v>
      </c>
      <c r="J11" s="3">
        <f>PV(J9,J6,J5,J7)</f>
        <v>-1000.0000000000001</v>
      </c>
    </row>
    <row r="13" spans="2:10">
      <c r="D13" s="11" t="s">
        <v>49</v>
      </c>
      <c r="E13" s="10"/>
      <c r="F13" s="11" t="s">
        <v>50</v>
      </c>
    </row>
    <row r="14" spans="2:10">
      <c r="B14" t="s">
        <v>51</v>
      </c>
      <c r="D14" s="8">
        <f>-C9*-C6+0.5*C7*(C9^2)</f>
        <v>6.4000000000000001E-2</v>
      </c>
      <c r="F14" s="8">
        <f>C6*C9</f>
        <v>6.1399999999999996E-2</v>
      </c>
    </row>
    <row r="15" spans="2:10">
      <c r="B15" t="s">
        <v>52</v>
      </c>
      <c r="D15" s="8">
        <f>C9*-C6+0.5*C7*(C9^2)</f>
        <v>-5.8799999999999998E-2</v>
      </c>
      <c r="F15" s="8">
        <f>C9*-C6</f>
        <v>-6.1399999999999996E-2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067C9-2AAE-43A9-8D17-E4F56BFD8477}">
  <dimension ref="A1"/>
  <sheetViews>
    <sheetView workbookViewId="0"/>
  </sheetViews>
  <sheetFormatPr defaultRowHeight="15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B34A46F7E7854EA107CF185D4A3828" ma:contentTypeVersion="12" ma:contentTypeDescription="Create a new document." ma:contentTypeScope="" ma:versionID="287fb1251a36131507df3e0b98017942">
  <xsd:schema xmlns:xsd="http://www.w3.org/2001/XMLSchema" xmlns:xs="http://www.w3.org/2001/XMLSchema" xmlns:p="http://schemas.microsoft.com/office/2006/metadata/properties" xmlns:ns2="7df71a97-d087-4d4e-ad3c-b1e666a2dbb2" xmlns:ns3="6c0ab8fe-0215-4bb2-9006-718197f1ba4f" targetNamespace="http://schemas.microsoft.com/office/2006/metadata/properties" ma:root="true" ma:fieldsID="e0bc9d80f20bc061a70fb0609785796e" ns2:_="" ns3:_="">
    <xsd:import namespace="7df71a97-d087-4d4e-ad3c-b1e666a2dbb2"/>
    <xsd:import namespace="6c0ab8fe-0215-4bb2-9006-718197f1ba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71a97-d087-4d4e-ad3c-b1e666a2db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b7eb6c9-d9b5-4c6a-a9ec-b98775d92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0ab8fe-0215-4bb2-9006-718197f1ba4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ac50fce-24f4-4f55-9680-2eab0354c211}" ma:internalName="TaxCatchAll" ma:showField="CatchAllData" ma:web="6c0ab8fe-0215-4bb2-9006-718197f1ba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f71a97-d087-4d4e-ad3c-b1e666a2dbb2">
      <Terms xmlns="http://schemas.microsoft.com/office/infopath/2007/PartnerControls"/>
    </lcf76f155ced4ddcb4097134ff3c332f>
    <TaxCatchAll xmlns="6c0ab8fe-0215-4bb2-9006-718197f1ba4f" xsi:nil="true"/>
  </documentManagement>
</p:properties>
</file>

<file path=customXml/itemProps1.xml><?xml version="1.0" encoding="utf-8"?>
<ds:datastoreItem xmlns:ds="http://schemas.openxmlformats.org/officeDocument/2006/customXml" ds:itemID="{ADADDCF5-0887-463B-A588-C66EC82CC31C}"/>
</file>

<file path=customXml/itemProps2.xml><?xml version="1.0" encoding="utf-8"?>
<ds:datastoreItem xmlns:ds="http://schemas.openxmlformats.org/officeDocument/2006/customXml" ds:itemID="{9FC99CC5-D226-48E6-BFAC-12DAEF8B1FA3}"/>
</file>

<file path=customXml/itemProps3.xml><?xml version="1.0" encoding="utf-8"?>
<ds:datastoreItem xmlns:ds="http://schemas.openxmlformats.org/officeDocument/2006/customXml" ds:itemID="{C05F380F-ACDB-4989-90C5-FC482C91EE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spot discount 1</vt:lpstr>
      <vt:lpstr>calculator keys</vt:lpstr>
      <vt:lpstr>Effective Duration</vt:lpstr>
      <vt:lpstr>Convexity illustrated</vt:lpstr>
      <vt:lpstr>Convexity calculated</vt:lpstr>
      <vt:lpstr>Convexity applied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 Girand</dc:creator>
  <cp:keywords/>
  <dc:description/>
  <cp:lastModifiedBy>parth bhatt</cp:lastModifiedBy>
  <cp:revision/>
  <dcterms:created xsi:type="dcterms:W3CDTF">2021-09-17T23:22:22Z</dcterms:created>
  <dcterms:modified xsi:type="dcterms:W3CDTF">2025-01-11T18:51:53Z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{12F16AE8-B386-49BB-A275-3B79647E93CE}</vt:lpwstr>
  </property>
  <property fmtid="{D5CDD505-2E9C-101B-9397-08002B2CF9AE}" pid="3" name="ContentTypeId">
    <vt:lpwstr>0x010100B3B34A46F7E7854EA107CF185D4A3828</vt:lpwstr>
  </property>
</Properties>
</file>